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<sst xmlns="http://schemas.openxmlformats.org/spreadsheetml/2006/main" count="106" uniqueCount="42">
  <si>
    <t>Question 5</t>
  </si>
  <si>
    <t>number of participants</t>
  </si>
  <si>
    <t>Rank 1</t>
  </si>
  <si>
    <t xml:space="preserve">Rank 2 </t>
  </si>
  <si>
    <t xml:space="preserve">Rank 3 </t>
  </si>
  <si>
    <t>Rank 4</t>
  </si>
  <si>
    <t xml:space="preserve">Rank 5 </t>
  </si>
  <si>
    <t xml:space="preserve">Rank 6 </t>
  </si>
  <si>
    <t>Rank 7</t>
  </si>
  <si>
    <t>no answer</t>
  </si>
  <si>
    <t>Very Important</t>
  </si>
  <si>
    <t>some importance</t>
  </si>
  <si>
    <t>not so important</t>
  </si>
  <si>
    <t>nonsense</t>
  </si>
  <si>
    <t>Question A</t>
  </si>
  <si>
    <t>availibility</t>
  </si>
  <si>
    <t>Important</t>
  </si>
  <si>
    <t>Neutral</t>
  </si>
  <si>
    <t>unimportant</t>
  </si>
  <si>
    <t>(important +)</t>
  </si>
  <si>
    <t>Commercial</t>
  </si>
  <si>
    <t>Governemental</t>
  </si>
  <si>
    <t>Individual</t>
  </si>
  <si>
    <t>Isp</t>
  </si>
  <si>
    <t>Non-commercial</t>
  </si>
  <si>
    <t>Not stated</t>
  </si>
  <si>
    <t xml:space="preserve">Other </t>
  </si>
  <si>
    <t>Registrar/try</t>
  </si>
  <si>
    <t>Question B</t>
  </si>
  <si>
    <t>similar name check</t>
  </si>
  <si>
    <t>Question C</t>
  </si>
  <si>
    <t>verify merchants</t>
  </si>
  <si>
    <t>Question D</t>
  </si>
  <si>
    <t>ip enforcement</t>
  </si>
  <si>
    <t>Question E</t>
  </si>
  <si>
    <t>spam source</t>
  </si>
  <si>
    <t>Question F</t>
  </si>
  <si>
    <t>identity illegal activity</t>
  </si>
  <si>
    <t>Question G</t>
  </si>
  <si>
    <t>other</t>
  </si>
  <si>
    <t xml:space="preserve"> </t>
  </si>
  <si>
    <t xml:space="preserve"> %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</si>
</sst>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0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1"/>
  <sheetViews>
    <sheetView tabSelected="1" workbookViewId="0" topLeftCell="A48">
      <selection activeCell="L22" sqref="L22"/>
    </sheetView>
  </sheetViews>
  <sheetFormatPr defaultColWidth="9.140625" defaultRowHeight="12.75"/>
  <cols>
    <col min="1" max="1" width="15.7109375" style="0" customWidth="1"/>
    <col min="3" max="3" width="9.140625" style="1" customWidth="1"/>
    <col min="4" max="4" width="3.57421875" style="1" customWidth="1"/>
    <col min="5" max="15" width="9.28125" style="1" customWidth="1"/>
    <col min="16" max="16" width="10.28125" style="1" customWidth="1"/>
    <col min="17" max="24" width="9.140625" style="1" customWidth="1"/>
    <col min="25" max="25" width="9.28125" style="1" customWidth="1"/>
  </cols>
  <sheetData>
    <row r="1" spans="1:23" ht="12.75">
      <c r="A1" t="s">
        <v>0</v>
      </c>
      <c r="B1" t="s">
        <v>1</v>
      </c>
      <c r="E1" s="1" t="s">
        <v>2</v>
      </c>
      <c r="F1" s="1" t="s">
        <v>3</v>
      </c>
      <c r="G1" s="1" t="s">
        <v>4</v>
      </c>
      <c r="M1" s="1" t="s">
        <v>5</v>
      </c>
      <c r="O1" s="1" t="s">
        <v>6</v>
      </c>
      <c r="P1" s="1" t="s">
        <v>7</v>
      </c>
      <c r="Q1" s="1" t="s">
        <v>8</v>
      </c>
      <c r="W1" s="1" t="s">
        <v>9</v>
      </c>
    </row>
    <row r="2" spans="5:17" ht="12.75">
      <c r="E2" s="1" t="s">
        <v>10</v>
      </c>
      <c r="G2" s="1" t="s">
        <v>11</v>
      </c>
      <c r="O2" s="1" t="s">
        <v>12</v>
      </c>
      <c r="Q2" s="1" t="s">
        <v>13</v>
      </c>
    </row>
    <row r="3" spans="1:16" ht="12.75">
      <c r="A3" t="s">
        <v>14</v>
      </c>
      <c r="B3" t="s">
        <v>15</v>
      </c>
      <c r="F3" s="1" t="s">
        <v>16</v>
      </c>
      <c r="M3" s="1" t="s">
        <v>17</v>
      </c>
      <c r="P3" s="1" t="s">
        <v>18</v>
      </c>
    </row>
    <row r="4" ht="12.75">
      <c r="I4" s="1" t="s">
        <v>19</v>
      </c>
    </row>
    <row r="5" spans="1:23" ht="12.75">
      <c r="A5" t="s">
        <v>20</v>
      </c>
      <c r="B5">
        <v>1063</v>
      </c>
      <c r="E5" s="1">
        <f>487/B5</f>
        <v>0.458137347130762</v>
      </c>
      <c r="F5" s="1">
        <f>165/B5</f>
        <v>0.15522107243650046</v>
      </c>
      <c r="G5" s="1">
        <f>106/B5</f>
        <v>0.09971777986829727</v>
      </c>
      <c r="I5" s="1">
        <f>SUM(E5:G5)</f>
        <v>0.7130761994355597</v>
      </c>
      <c r="K5" s="1">
        <v>0.7131</v>
      </c>
      <c r="M5" s="1">
        <f>63/B5</f>
        <v>0.059266227657572904</v>
      </c>
      <c r="O5" s="1">
        <f>70/B5</f>
        <v>0.0658513640639699</v>
      </c>
      <c r="P5" s="1">
        <f>82/B5</f>
        <v>0.07714016933207903</v>
      </c>
      <c r="Q5" s="1">
        <f>35/B5</f>
        <v>0.03292568203198495</v>
      </c>
      <c r="S5" s="1">
        <f>SUM(O5:Q5)</f>
        <v>0.17591721542803387</v>
      </c>
      <c r="U5" s="1">
        <v>0.1759</v>
      </c>
      <c r="W5" s="1">
        <f>55/B5</f>
        <v>0.05174035747883349</v>
      </c>
    </row>
    <row r="6" spans="1:23" ht="12.75">
      <c r="A6" t="s">
        <v>21</v>
      </c>
      <c r="B6">
        <v>35</v>
      </c>
      <c r="E6" s="1">
        <f>3/B6</f>
        <v>0.08571428571428572</v>
      </c>
      <c r="F6" s="1">
        <f>5/B6</f>
        <v>0.14285714285714285</v>
      </c>
      <c r="G6" s="1">
        <f>5/B6</f>
        <v>0.14285714285714285</v>
      </c>
      <c r="I6" s="1">
        <f>SUM(E6:G6)</f>
        <v>0.37142857142857144</v>
      </c>
      <c r="K6" s="1" t="s">
        <v>40</v>
      </c>
      <c r="M6" s="1">
        <f>3/B6</f>
        <v>0.08571428571428572</v>
      </c>
      <c r="O6" s="1">
        <f>3/B6</f>
        <v>0.08571428571428572</v>
      </c>
      <c r="P6" s="1">
        <f>4/B6</f>
        <v>0.11428571428571428</v>
      </c>
      <c r="Q6" s="1">
        <f>3/B6</f>
        <v>0.08571428571428572</v>
      </c>
      <c r="S6" s="1">
        <f aca="true" t="shared" si="0" ref="S6:S12">SUM(O6:Q6)</f>
        <v>0.2857142857142857</v>
      </c>
      <c r="W6" s="1">
        <f>9/B6</f>
        <v>0.2571428571428571</v>
      </c>
    </row>
    <row r="7" spans="1:23" ht="12.75">
      <c r="A7" t="s">
        <v>22</v>
      </c>
      <c r="B7">
        <v>1021</v>
      </c>
      <c r="E7" s="1">
        <f>452/B7</f>
        <v>0.4427032321253673</v>
      </c>
      <c r="F7" s="1">
        <f>127/B7</f>
        <v>0.12438785504407443</v>
      </c>
      <c r="G7" s="1">
        <f>106/B7</f>
        <v>0.10381978452497552</v>
      </c>
      <c r="I7" s="1">
        <f>SUM(E7:G7)</f>
        <v>0.6709108716944172</v>
      </c>
      <c r="K7" s="1">
        <v>0.6709</v>
      </c>
      <c r="M7" s="1">
        <f>71/B7</f>
        <v>0.06953966699314397</v>
      </c>
      <c r="O7" s="1">
        <f>95/B7</f>
        <v>0.0930460333006856</v>
      </c>
      <c r="P7" s="1">
        <f>67/B7</f>
        <v>0.06562193927522038</v>
      </c>
      <c r="Q7" s="1">
        <f>43/B7</f>
        <v>0.04211557296767875</v>
      </c>
      <c r="S7" s="1">
        <f t="shared" si="0"/>
        <v>0.20078354554358474</v>
      </c>
      <c r="U7" s="1">
        <v>0.2008</v>
      </c>
      <c r="W7" s="1">
        <f>60/B7</f>
        <v>0.058765915768854066</v>
      </c>
    </row>
    <row r="8" spans="1:23" ht="12.75">
      <c r="A8" t="s">
        <v>23</v>
      </c>
      <c r="B8">
        <v>234</v>
      </c>
      <c r="E8" s="1">
        <f>102/B8</f>
        <v>0.4358974358974359</v>
      </c>
      <c r="F8" s="1">
        <f>35/B8</f>
        <v>0.14957264957264957</v>
      </c>
      <c r="G8" s="1">
        <f>22/B8</f>
        <v>0.09401709401709402</v>
      </c>
      <c r="I8" s="1">
        <f>SUM(E8:G8)</f>
        <v>0.6794871794871795</v>
      </c>
      <c r="K8" s="1">
        <v>0.7695</v>
      </c>
      <c r="M8" s="1">
        <f>24/B8</f>
        <v>0.10256410256410256</v>
      </c>
      <c r="O8" s="1">
        <f>22/B8</f>
        <v>0.09401709401709402</v>
      </c>
      <c r="P8" s="1">
        <f>11/B8</f>
        <v>0.04700854700854701</v>
      </c>
      <c r="Q8" s="1">
        <f>12/B8</f>
        <v>0.05128205128205128</v>
      </c>
      <c r="S8" s="1">
        <f t="shared" si="0"/>
        <v>0.1923076923076923</v>
      </c>
      <c r="U8" s="1">
        <v>0.1923</v>
      </c>
      <c r="W8" s="1">
        <f>6/B8</f>
        <v>0.02564102564102564</v>
      </c>
    </row>
    <row r="9" spans="1:23" ht="12.75">
      <c r="A9" t="s">
        <v>24</v>
      </c>
      <c r="B9">
        <v>208</v>
      </c>
      <c r="E9" s="1">
        <f>76/B9</f>
        <v>0.36538461538461536</v>
      </c>
      <c r="F9" s="1">
        <f>19/B9</f>
        <v>0.09134615384615384</v>
      </c>
      <c r="G9" s="1">
        <f>27/B9</f>
        <v>0.12980769230769232</v>
      </c>
      <c r="I9" s="1">
        <f>SUM(E9:G9)</f>
        <v>0.5865384615384616</v>
      </c>
      <c r="K9" s="1">
        <v>0.5865</v>
      </c>
      <c r="M9" s="1">
        <f>24/B9</f>
        <v>0.11538461538461539</v>
      </c>
      <c r="O9" s="1">
        <f>28/B9</f>
        <v>0.1346153846153846</v>
      </c>
      <c r="P9" s="1">
        <f>9/B9</f>
        <v>0.04326923076923077</v>
      </c>
      <c r="Q9" s="1">
        <f>7/B9</f>
        <v>0.03365384615384615</v>
      </c>
      <c r="S9" s="1">
        <f t="shared" si="0"/>
        <v>0.2115384615384615</v>
      </c>
      <c r="U9" s="1">
        <v>0.2115</v>
      </c>
      <c r="W9" s="1">
        <f>18/B9</f>
        <v>0.08653846153846154</v>
      </c>
    </row>
    <row r="10" spans="1:23" ht="12.75">
      <c r="A10" t="s">
        <v>25</v>
      </c>
      <c r="B10">
        <v>122</v>
      </c>
      <c r="E10" s="1">
        <f>13/B10</f>
        <v>0.10655737704918032</v>
      </c>
      <c r="F10" s="1">
        <f>7/B10</f>
        <v>0.05737704918032787</v>
      </c>
      <c r="G10" s="1">
        <f>1/B10</f>
        <v>0.00819672131147541</v>
      </c>
      <c r="I10" s="1">
        <f>SUM(E10:G10)</f>
        <v>0.1721311475409836</v>
      </c>
      <c r="M10" s="1">
        <f>1/B10</f>
        <v>0.00819672131147541</v>
      </c>
      <c r="O10" s="1">
        <f>1/B10</f>
        <v>0.00819672131147541</v>
      </c>
      <c r="P10" s="1">
        <f>1/B10</f>
        <v>0.00819672131147541</v>
      </c>
      <c r="Q10" s="1">
        <f>2/B10</f>
        <v>0.01639344262295082</v>
      </c>
      <c r="S10" s="1">
        <f t="shared" si="0"/>
        <v>0.03278688524590164</v>
      </c>
      <c r="W10" s="1" t="s">
        <v>40</v>
      </c>
    </row>
    <row r="11" spans="1:23" ht="12.75">
      <c r="A11" t="s">
        <v>26</v>
      </c>
      <c r="B11">
        <v>222</v>
      </c>
      <c r="E11" s="1">
        <f>80/B11</f>
        <v>0.36036036036036034</v>
      </c>
      <c r="F11" s="1">
        <f>29/B11</f>
        <v>0.13063063063063063</v>
      </c>
      <c r="G11" s="1">
        <f>26/B11</f>
        <v>0.11711711711711711</v>
      </c>
      <c r="I11" s="1">
        <f>SUM(E11:G11)</f>
        <v>0.6081081081081081</v>
      </c>
      <c r="K11" s="1">
        <v>0.6081</v>
      </c>
      <c r="M11" s="1">
        <f>26/B11</f>
        <v>0.11711711711711711</v>
      </c>
      <c r="O11" s="1">
        <f>17/B11</f>
        <v>0.07657657657657657</v>
      </c>
      <c r="P11" s="1">
        <f>17/B11</f>
        <v>0.07657657657657657</v>
      </c>
      <c r="Q11" s="1">
        <f>8/B11</f>
        <v>0.036036036036036036</v>
      </c>
      <c r="S11" s="1">
        <f t="shared" si="0"/>
        <v>0.18918918918918917</v>
      </c>
      <c r="U11" s="1">
        <v>0.1892</v>
      </c>
      <c r="W11" s="1">
        <f>19/B11</f>
        <v>0.08558558558558559</v>
      </c>
    </row>
    <row r="12" spans="1:23" ht="12.75">
      <c r="A12" t="s">
        <v>27</v>
      </c>
      <c r="B12">
        <v>130</v>
      </c>
      <c r="E12" s="1">
        <f>71/B12</f>
        <v>0.5461538461538461</v>
      </c>
      <c r="F12" s="1">
        <f>13/B12</f>
        <v>0.1</v>
      </c>
      <c r="G12" s="1">
        <f>9/B12</f>
        <v>0.06923076923076923</v>
      </c>
      <c r="I12" s="1">
        <f>SUM(E12:G12)</f>
        <v>0.7153846153846153</v>
      </c>
      <c r="K12" s="1">
        <v>0.7154</v>
      </c>
      <c r="M12" s="1">
        <f>12/B12</f>
        <v>0.09230769230769231</v>
      </c>
      <c r="O12" s="1">
        <f>5/B12</f>
        <v>0.038461538461538464</v>
      </c>
      <c r="P12" s="1">
        <f>3/B12</f>
        <v>0.023076923076923078</v>
      </c>
      <c r="Q12" s="1">
        <f>7/B12</f>
        <v>0.05384615384615385</v>
      </c>
      <c r="S12" s="1">
        <f t="shared" si="0"/>
        <v>0.11538461538461539</v>
      </c>
      <c r="U12" s="1">
        <v>0.1154</v>
      </c>
      <c r="W12" s="1">
        <f>10/B12</f>
        <v>0.07692307692307693</v>
      </c>
    </row>
    <row r="14" spans="1:23" ht="12.75">
      <c r="A14" t="s">
        <v>28</v>
      </c>
      <c r="B14" t="s">
        <v>29</v>
      </c>
      <c r="I14" s="1">
        <f>SUM(I5:I13)/8</f>
        <v>0.5646331443272371</v>
      </c>
      <c r="K14" s="1">
        <f>SUM(K5:K13)/6</f>
        <v>0.6772499999999999</v>
      </c>
      <c r="S14" s="1">
        <f>SUM(S5:S13)/8</f>
        <v>0.17545273629397054</v>
      </c>
      <c r="U14" s="1">
        <f>SUM(U5:U13)/6</f>
        <v>0.18085000000000004</v>
      </c>
      <c r="W14" s="1">
        <f>SUM(W5:W13)/7</f>
        <v>0.09176246858267063</v>
      </c>
    </row>
    <row r="16" spans="1:23" ht="12.75">
      <c r="A16" t="s">
        <v>20</v>
      </c>
      <c r="B16">
        <v>1063</v>
      </c>
      <c r="E16" s="1">
        <f>76/B16</f>
        <v>0.07149576669802446</v>
      </c>
      <c r="F16" s="1">
        <f>286/B16</f>
        <v>0.26904985888993416</v>
      </c>
      <c r="G16" s="1">
        <f>207/B16</f>
        <v>0.1947318908748824</v>
      </c>
      <c r="I16" s="1">
        <f>SUM(E16:G16)</f>
        <v>0.535277516462841</v>
      </c>
      <c r="K16" s="1">
        <v>0.5353</v>
      </c>
      <c r="M16" s="1">
        <f>157/B16</f>
        <v>0.14769520225776106</v>
      </c>
      <c r="O16" s="1">
        <f>130/B16</f>
        <v>0.12229539040451552</v>
      </c>
      <c r="P16" s="1">
        <f>105/B16</f>
        <v>0.09877704609595485</v>
      </c>
      <c r="Q16" s="1">
        <f>35/B16</f>
        <v>0.03292568203198495</v>
      </c>
      <c r="S16" s="1">
        <f aca="true" t="shared" si="1" ref="S16:S23">SUM(O16:Q16)</f>
        <v>0.2539981185324553</v>
      </c>
      <c r="U16" s="1">
        <v>0.254</v>
      </c>
      <c r="W16" s="1">
        <f>73/B16</f>
        <v>0.06867356538099718</v>
      </c>
    </row>
    <row r="17" spans="1:23" ht="12.75">
      <c r="A17" t="s">
        <v>21</v>
      </c>
      <c r="B17">
        <v>35</v>
      </c>
      <c r="E17" s="1">
        <f>2/B17</f>
        <v>0.05714285714285714</v>
      </c>
      <c r="F17" s="1">
        <f>4/B17</f>
        <v>0.11428571428571428</v>
      </c>
      <c r="G17" s="1">
        <f>3/B17</f>
        <v>0.08571428571428572</v>
      </c>
      <c r="I17" s="1">
        <f>SUM(E17:G17)</f>
        <v>0.2571428571428571</v>
      </c>
      <c r="M17" s="1">
        <f>4/B17</f>
        <v>0.11428571428571428</v>
      </c>
      <c r="O17" s="1">
        <f>7/B17</f>
        <v>0.2</v>
      </c>
      <c r="P17" s="1">
        <f>3/B17</f>
        <v>0.08571428571428572</v>
      </c>
      <c r="Q17" s="1">
        <f>4/B17</f>
        <v>0.11428571428571428</v>
      </c>
      <c r="S17" s="1">
        <f t="shared" si="1"/>
        <v>0.39999999999999997</v>
      </c>
      <c r="U17" s="1" t="s">
        <v>40</v>
      </c>
      <c r="W17" s="1">
        <f>8/B17</f>
        <v>0.22857142857142856</v>
      </c>
    </row>
    <row r="18" spans="1:23" ht="12.75">
      <c r="A18" t="s">
        <v>22</v>
      </c>
      <c r="B18">
        <v>1021</v>
      </c>
      <c r="E18" s="1">
        <f>66/B18</f>
        <v>0.06464250734573947</v>
      </c>
      <c r="F18" s="1">
        <f>284/B18</f>
        <v>0.2781586679725759</v>
      </c>
      <c r="G18" s="1">
        <f>149/B18</f>
        <v>0.14593535749265427</v>
      </c>
      <c r="I18" s="1">
        <f>SUM(E18:G18)</f>
        <v>0.4887365328109696</v>
      </c>
      <c r="K18" s="1">
        <v>0.4887</v>
      </c>
      <c r="M18" s="1">
        <f>119/B18</f>
        <v>0.11655239960822723</v>
      </c>
      <c r="O18" s="1">
        <f>145/B18</f>
        <v>0.14201762977473065</v>
      </c>
      <c r="P18" s="1">
        <f>146/B18</f>
        <v>0.14299706170421156</v>
      </c>
      <c r="Q18" s="1">
        <f>40/B18</f>
        <v>0.039177277179236046</v>
      </c>
      <c r="S18" s="1">
        <f t="shared" si="1"/>
        <v>0.32419196865817823</v>
      </c>
      <c r="U18" s="1">
        <v>0.3242</v>
      </c>
      <c r="W18" s="1">
        <f>72/B18</f>
        <v>0.07051909892262488</v>
      </c>
    </row>
    <row r="19" spans="1:23" ht="12.75">
      <c r="A19" t="s">
        <v>23</v>
      </c>
      <c r="B19">
        <v>234</v>
      </c>
      <c r="E19" s="1">
        <f>15/B19</f>
        <v>0.0641025641025641</v>
      </c>
      <c r="F19" s="1">
        <f>54/B19</f>
        <v>0.23076923076923078</v>
      </c>
      <c r="G19" s="1">
        <f>40/B19</f>
        <v>0.17094017094017094</v>
      </c>
      <c r="I19" s="1">
        <f>SUM(E19:G19)</f>
        <v>0.4658119658119658</v>
      </c>
      <c r="K19" s="1">
        <v>0.4658</v>
      </c>
      <c r="M19" s="1">
        <f>36/B19</f>
        <v>0.15384615384615385</v>
      </c>
      <c r="O19" s="1">
        <f>30/B19</f>
        <v>0.1282051282051282</v>
      </c>
      <c r="P19" s="1">
        <f>32/B19</f>
        <v>0.13675213675213677</v>
      </c>
      <c r="Q19" s="1">
        <f>15/B19</f>
        <v>0.0641025641025641</v>
      </c>
      <c r="S19" s="1">
        <f t="shared" si="1"/>
        <v>0.32905982905982906</v>
      </c>
      <c r="U19" s="1">
        <v>0.3291</v>
      </c>
      <c r="W19" s="1">
        <f>12/B19</f>
        <v>0.05128205128205128</v>
      </c>
    </row>
    <row r="20" spans="1:23" ht="12.75">
      <c r="A20" t="s">
        <v>24</v>
      </c>
      <c r="B20">
        <v>208</v>
      </c>
      <c r="E20" s="1">
        <f>11/B20</f>
        <v>0.052884615384615384</v>
      </c>
      <c r="F20" s="1">
        <f>41/B20</f>
        <v>0.1971153846153846</v>
      </c>
      <c r="G20" s="1">
        <f>27/B20</f>
        <v>0.12980769230769232</v>
      </c>
      <c r="I20" s="1">
        <f>SUM(E20:G20)</f>
        <v>0.3798076923076923</v>
      </c>
      <c r="K20" s="1">
        <v>0.3798</v>
      </c>
      <c r="M20" s="1">
        <f>31/B20</f>
        <v>0.14903846153846154</v>
      </c>
      <c r="O20" s="1">
        <f>33/B20</f>
        <v>0.15865384615384615</v>
      </c>
      <c r="P20" s="1">
        <f>30/B20</f>
        <v>0.14423076923076922</v>
      </c>
      <c r="Q20" s="1">
        <f>9/B20</f>
        <v>0.04326923076923077</v>
      </c>
      <c r="S20" s="1">
        <f t="shared" si="1"/>
        <v>0.34615384615384615</v>
      </c>
      <c r="U20" s="1">
        <v>0.3462</v>
      </c>
      <c r="W20" s="1">
        <f>26/B20</f>
        <v>0.125</v>
      </c>
    </row>
    <row r="21" spans="1:23" ht="12.75">
      <c r="A21" t="s">
        <v>25</v>
      </c>
      <c r="B21">
        <v>122</v>
      </c>
      <c r="E21" s="1">
        <f>4/B21</f>
        <v>0.03278688524590164</v>
      </c>
      <c r="F21" s="1">
        <f>9/B21</f>
        <v>0.07377049180327869</v>
      </c>
      <c r="G21" s="1">
        <f>5/B21</f>
        <v>0.040983606557377046</v>
      </c>
      <c r="I21" s="1">
        <f>SUM(E21:G21)</f>
        <v>0.14754098360655737</v>
      </c>
      <c r="O21" s="1">
        <f>3/B21</f>
        <v>0.02459016393442623</v>
      </c>
      <c r="P21" s="1">
        <f>3/B21</f>
        <v>0.02459016393442623</v>
      </c>
      <c r="Q21" s="1">
        <f>2/B21</f>
        <v>0.01639344262295082</v>
      </c>
      <c r="S21" s="1">
        <f t="shared" si="1"/>
        <v>0.06557377049180328</v>
      </c>
      <c r="W21" s="1" t="s">
        <v>40</v>
      </c>
    </row>
    <row r="22" spans="1:23" ht="12.75">
      <c r="A22" t="s">
        <v>26</v>
      </c>
      <c r="B22">
        <v>222</v>
      </c>
      <c r="E22" s="1">
        <f>12/B22</f>
        <v>0.05405405405405406</v>
      </c>
      <c r="F22" s="1">
        <f>47/B22</f>
        <v>0.21171171171171171</v>
      </c>
      <c r="G22" s="1">
        <f>42/B22</f>
        <v>0.1891891891891892</v>
      </c>
      <c r="I22" s="1">
        <f>SUM(E22:G22)</f>
        <v>0.45495495495495497</v>
      </c>
      <c r="K22" s="1">
        <v>0.455</v>
      </c>
      <c r="M22" s="1">
        <f>29/B22</f>
        <v>0.13063063063063063</v>
      </c>
      <c r="O22" s="1">
        <f>30/B22</f>
        <v>0.13513513513513514</v>
      </c>
      <c r="P22" s="1">
        <f>26/B22</f>
        <v>0.11711711711711711</v>
      </c>
      <c r="Q22" s="1">
        <f>7/B22</f>
        <v>0.03153153153153153</v>
      </c>
      <c r="S22" s="1">
        <f t="shared" si="1"/>
        <v>0.28378378378378377</v>
      </c>
      <c r="U22" s="1">
        <v>0.2838</v>
      </c>
      <c r="W22" s="1">
        <f>29/B22</f>
        <v>0.13063063063063063</v>
      </c>
    </row>
    <row r="23" spans="1:23" ht="12.75">
      <c r="A23" t="s">
        <v>27</v>
      </c>
      <c r="B23">
        <v>130</v>
      </c>
      <c r="E23" s="1">
        <f>9/B23</f>
        <v>0.06923076923076923</v>
      </c>
      <c r="F23" s="1">
        <f>47/B23</f>
        <v>0.36153846153846153</v>
      </c>
      <c r="G23" s="1">
        <f>15/B23</f>
        <v>0.11538461538461539</v>
      </c>
      <c r="I23" s="1">
        <f>SUM(E23:G23)</f>
        <v>0.5461538461538462</v>
      </c>
      <c r="K23" s="1">
        <v>0.5463</v>
      </c>
      <c r="M23" s="1">
        <f>13/B23</f>
        <v>0.1</v>
      </c>
      <c r="O23" s="1">
        <f>13/B23</f>
        <v>0.1</v>
      </c>
      <c r="P23" s="1">
        <f>12/B23</f>
        <v>0.09230769230769231</v>
      </c>
      <c r="Q23" s="1">
        <f>7/B23</f>
        <v>0.05384615384615385</v>
      </c>
      <c r="S23" s="1">
        <f t="shared" si="1"/>
        <v>0.24615384615384617</v>
      </c>
      <c r="U23" s="1">
        <v>0.2462</v>
      </c>
      <c r="W23" s="1">
        <f>14/B23</f>
        <v>0.1076923076923077</v>
      </c>
    </row>
    <row r="25" spans="1:23" ht="12.75">
      <c r="A25" t="s">
        <v>30</v>
      </c>
      <c r="B25" t="s">
        <v>31</v>
      </c>
      <c r="I25" s="1">
        <f>SUM(I16:I24)/8</f>
        <v>0.4094282936564605</v>
      </c>
      <c r="K25" s="1">
        <f>SUM(K16:K24)/6</f>
        <v>0.47848333333333337</v>
      </c>
      <c r="S25" s="1">
        <f>SUM(S16:S24)/8</f>
        <v>0.2811143953542177</v>
      </c>
      <c r="U25" s="1">
        <f>SUM(U16:U24)/6</f>
        <v>0.29725</v>
      </c>
      <c r="W25" s="1">
        <f>SUM(W16:W24)/7</f>
        <v>0.11176701178286289</v>
      </c>
    </row>
    <row r="27" spans="1:23" ht="12.75">
      <c r="A27" t="s">
        <v>20</v>
      </c>
      <c r="B27">
        <v>1063</v>
      </c>
      <c r="E27" s="1">
        <f>76/B27</f>
        <v>0.07149576669802446</v>
      </c>
      <c r="F27" s="1">
        <f>107/B27</f>
        <v>0.1006585136406397</v>
      </c>
      <c r="G27" s="1">
        <f>171/B27</f>
        <v>0.16086547507055504</v>
      </c>
      <c r="I27" s="1">
        <f aca="true" t="shared" si="2" ref="I27:I34">SUM(E27:G27)</f>
        <v>0.3330197554092192</v>
      </c>
      <c r="K27" s="1">
        <v>0.333</v>
      </c>
      <c r="M27" s="1">
        <f>205/B27</f>
        <v>0.19285042333019756</v>
      </c>
      <c r="O27" s="1">
        <f>190/B27</f>
        <v>0.17873941674506114</v>
      </c>
      <c r="P27" s="1">
        <f>157/B27</f>
        <v>0.14769520225776106</v>
      </c>
      <c r="Q27" s="1">
        <f>47/B27</f>
        <v>0.04421448730009407</v>
      </c>
      <c r="S27" s="1">
        <f aca="true" t="shared" si="3" ref="S27:S34">SUM(O27:Q27)</f>
        <v>0.3706491063029163</v>
      </c>
      <c r="U27" s="1">
        <v>0.3706</v>
      </c>
      <c r="W27" s="1">
        <f>110/B27</f>
        <v>0.10348071495766697</v>
      </c>
    </row>
    <row r="28" spans="1:23" ht="12.75">
      <c r="A28" t="s">
        <v>21</v>
      </c>
      <c r="B28">
        <v>35</v>
      </c>
      <c r="E28" s="1">
        <f>1/B28</f>
        <v>0.02857142857142857</v>
      </c>
      <c r="G28" s="1">
        <f>8/B28</f>
        <v>0.22857142857142856</v>
      </c>
      <c r="I28" s="1">
        <f t="shared" si="2"/>
        <v>0.2571428571428571</v>
      </c>
      <c r="M28" s="1">
        <f>8/B28</f>
        <v>0.22857142857142856</v>
      </c>
      <c r="O28" s="1">
        <f>7/B28</f>
        <v>0.2</v>
      </c>
      <c r="P28" s="1">
        <f>2/B28</f>
        <v>0.05714285714285714</v>
      </c>
      <c r="Q28" s="1">
        <f>4/B28</f>
        <v>0.11428571428571428</v>
      </c>
      <c r="S28" s="1">
        <f t="shared" si="3"/>
        <v>0.37142857142857144</v>
      </c>
      <c r="W28" s="1">
        <f>5/B28</f>
        <v>0.14285714285714285</v>
      </c>
    </row>
    <row r="29" spans="1:23" ht="12.75">
      <c r="A29" t="s">
        <v>22</v>
      </c>
      <c r="B29">
        <v>1021</v>
      </c>
      <c r="E29" s="1">
        <f>102/B29</f>
        <v>0.09990205680705191</v>
      </c>
      <c r="F29" s="1">
        <f>105/B29</f>
        <v>0.10284035259549461</v>
      </c>
      <c r="G29" s="1">
        <f>203/B29</f>
        <v>0.19882468168462292</v>
      </c>
      <c r="I29" s="1">
        <f t="shared" si="2"/>
        <v>0.4015670910871694</v>
      </c>
      <c r="K29" s="1">
        <v>0.4016</v>
      </c>
      <c r="M29" s="1">
        <f>193/B29</f>
        <v>0.1890303623898139</v>
      </c>
      <c r="O29" s="1">
        <f>156/B29</f>
        <v>0.15279138099902057</v>
      </c>
      <c r="P29" s="1">
        <f>123/B29</f>
        <v>0.12047012732615084</v>
      </c>
      <c r="Q29" s="1">
        <f>42/B29</f>
        <v>0.04113614103819784</v>
      </c>
      <c r="S29" s="1">
        <f t="shared" si="3"/>
        <v>0.3143976493633692</v>
      </c>
      <c r="U29" s="1">
        <v>0.3144</v>
      </c>
      <c r="W29" s="1">
        <f>97/B29</f>
        <v>0.09500489715964741</v>
      </c>
    </row>
    <row r="30" spans="1:23" ht="12.75">
      <c r="A30" t="s">
        <v>23</v>
      </c>
      <c r="B30">
        <v>234</v>
      </c>
      <c r="E30" s="1">
        <f>17/B30</f>
        <v>0.07264957264957266</v>
      </c>
      <c r="F30" s="1">
        <f>28/B30</f>
        <v>0.11965811965811966</v>
      </c>
      <c r="G30" s="1">
        <f>29/B30</f>
        <v>0.12393162393162394</v>
      </c>
      <c r="I30" s="1">
        <f t="shared" si="2"/>
        <v>0.3162393162393162</v>
      </c>
      <c r="K30" s="1">
        <v>0.3162</v>
      </c>
      <c r="M30" s="1">
        <f>35/B30</f>
        <v>0.14957264957264957</v>
      </c>
      <c r="O30" s="1">
        <f>40/B30</f>
        <v>0.17094017094017094</v>
      </c>
      <c r="P30" s="1">
        <f>41/B30</f>
        <v>0.1752136752136752</v>
      </c>
      <c r="Q30" s="1">
        <f>24/B30</f>
        <v>0.10256410256410256</v>
      </c>
      <c r="S30" s="1">
        <f t="shared" si="3"/>
        <v>0.4487179487179487</v>
      </c>
      <c r="U30" s="1">
        <v>0.4487</v>
      </c>
      <c r="W30" s="1">
        <f>20/B30</f>
        <v>0.08547008547008547</v>
      </c>
    </row>
    <row r="31" spans="1:23" ht="12.75">
      <c r="A31" t="s">
        <v>24</v>
      </c>
      <c r="B31">
        <v>208</v>
      </c>
      <c r="E31" s="1">
        <f>15/B31</f>
        <v>0.07211538461538461</v>
      </c>
      <c r="F31" s="1">
        <f>21/B31</f>
        <v>0.10096153846153846</v>
      </c>
      <c r="G31" s="1">
        <f>31/B31</f>
        <v>0.14903846153846154</v>
      </c>
      <c r="I31" s="1">
        <f t="shared" si="2"/>
        <v>0.3221153846153846</v>
      </c>
      <c r="K31" s="1">
        <v>0.3221</v>
      </c>
      <c r="M31" s="1">
        <f>28/B31</f>
        <v>0.1346153846153846</v>
      </c>
      <c r="O31" s="1">
        <f>26/B31</f>
        <v>0.125</v>
      </c>
      <c r="P31" s="1">
        <f>28/B31</f>
        <v>0.1346153846153846</v>
      </c>
      <c r="Q31" s="1">
        <f>27/B31</f>
        <v>0.12980769230769232</v>
      </c>
      <c r="S31" s="1">
        <f t="shared" si="3"/>
        <v>0.38942307692307687</v>
      </c>
      <c r="U31" s="1">
        <v>0.3894</v>
      </c>
      <c r="W31" s="1">
        <f>32/B31</f>
        <v>0.15384615384615385</v>
      </c>
    </row>
    <row r="32" spans="1:23" ht="12.75">
      <c r="A32" t="s">
        <v>25</v>
      </c>
      <c r="B32">
        <v>122</v>
      </c>
      <c r="E32" s="1">
        <f>2/B32</f>
        <v>0.01639344262295082</v>
      </c>
      <c r="F32" s="1">
        <f>1/B32</f>
        <v>0.00819672131147541</v>
      </c>
      <c r="G32" s="1">
        <f>5/B32</f>
        <v>0.040983606557377046</v>
      </c>
      <c r="I32" s="1">
        <f t="shared" si="2"/>
        <v>0.06557377049180327</v>
      </c>
      <c r="M32" s="1">
        <f>4/B32</f>
        <v>0.03278688524590164</v>
      </c>
      <c r="O32" s="1">
        <f>7/B32</f>
        <v>0.05737704918032787</v>
      </c>
      <c r="P32" s="1">
        <f>5/B32</f>
        <v>0.040983606557377046</v>
      </c>
      <c r="S32" s="1">
        <f t="shared" si="3"/>
        <v>0.09836065573770492</v>
      </c>
      <c r="W32" s="1" t="s">
        <v>40</v>
      </c>
    </row>
    <row r="33" spans="1:23" ht="12.75">
      <c r="A33" t="s">
        <v>26</v>
      </c>
      <c r="B33">
        <v>222</v>
      </c>
      <c r="E33" s="1">
        <f>19/B33</f>
        <v>0.08558558558558559</v>
      </c>
      <c r="F33" s="1">
        <f>17/B33</f>
        <v>0.07657657657657657</v>
      </c>
      <c r="G33" s="1">
        <f>39/B33</f>
        <v>0.17567567567567569</v>
      </c>
      <c r="I33" s="1">
        <f t="shared" si="2"/>
        <v>0.33783783783783783</v>
      </c>
      <c r="K33" s="1">
        <v>0.3378</v>
      </c>
      <c r="M33" s="1">
        <f>32/B33</f>
        <v>0.14414414414414414</v>
      </c>
      <c r="O33" s="1">
        <f>43/B33</f>
        <v>0.19369369369369369</v>
      </c>
      <c r="P33" s="1">
        <f>28/B33</f>
        <v>0.12612612612612611</v>
      </c>
      <c r="Q33" s="1">
        <f>7/B33</f>
        <v>0.03153153153153153</v>
      </c>
      <c r="S33" s="1">
        <f t="shared" si="3"/>
        <v>0.3513513513513513</v>
      </c>
      <c r="U33" s="1">
        <v>0.3514</v>
      </c>
      <c r="W33" s="1">
        <f>37/B33</f>
        <v>0.16666666666666666</v>
      </c>
    </row>
    <row r="34" spans="1:23" ht="12.75">
      <c r="A34" t="s">
        <v>27</v>
      </c>
      <c r="B34">
        <v>130</v>
      </c>
      <c r="E34" s="1">
        <f>8/B34</f>
        <v>0.06153846153846154</v>
      </c>
      <c r="F34" s="1">
        <f>13/B34</f>
        <v>0.1</v>
      </c>
      <c r="G34" s="1">
        <f>26/B34</f>
        <v>0.2</v>
      </c>
      <c r="I34" s="1">
        <f t="shared" si="2"/>
        <v>0.3615384615384616</v>
      </c>
      <c r="K34" s="1">
        <v>0.3615</v>
      </c>
      <c r="M34" s="1">
        <f>17/B34</f>
        <v>0.13076923076923078</v>
      </c>
      <c r="O34" s="1">
        <f>11/B34</f>
        <v>0.08461538461538462</v>
      </c>
      <c r="P34" s="1">
        <f>18/B34</f>
        <v>0.13846153846153847</v>
      </c>
      <c r="Q34" s="1">
        <f>15/B34</f>
        <v>0.11538461538461539</v>
      </c>
      <c r="S34" s="1">
        <f t="shared" si="3"/>
        <v>0.3384615384615385</v>
      </c>
      <c r="U34" s="1">
        <v>0.3385</v>
      </c>
      <c r="W34" s="1">
        <f>22/B34</f>
        <v>0.16923076923076924</v>
      </c>
    </row>
    <row r="36" spans="1:23" ht="12.75">
      <c r="A36" t="s">
        <v>32</v>
      </c>
      <c r="B36" t="s">
        <v>33</v>
      </c>
      <c r="I36" s="1">
        <f>SUM(I27:I35)/8</f>
        <v>0.29937930929525614</v>
      </c>
      <c r="K36" s="1">
        <f>SUM(K27:K35)/6</f>
        <v>0.34536666666666666</v>
      </c>
      <c r="S36" s="1">
        <f>SUM(S27:S35)/8</f>
        <v>0.33534873728580966</v>
      </c>
      <c r="U36" s="1">
        <f>SUM(U27:U35)/6</f>
        <v>0.36883333333333335</v>
      </c>
      <c r="W36" s="1">
        <f>SUM(W27:W35)/7</f>
        <v>0.1309366328840189</v>
      </c>
    </row>
    <row r="38" spans="1:23" ht="12.75">
      <c r="A38" t="s">
        <v>20</v>
      </c>
      <c r="B38">
        <v>1063</v>
      </c>
      <c r="E38" s="1">
        <f>186/B38</f>
        <v>0.17497648165569143</v>
      </c>
      <c r="F38" s="1">
        <f>137/B38</f>
        <v>0.1288805268109125</v>
      </c>
      <c r="G38" s="1">
        <f>166/B38</f>
        <v>0.1561618062088429</v>
      </c>
      <c r="I38" s="1">
        <f aca="true" t="shared" si="4" ref="I38:I45">SUM(E38:G38)</f>
        <v>0.4600188146754468</v>
      </c>
      <c r="K38" s="1">
        <v>0.46</v>
      </c>
      <c r="M38" s="1">
        <f>184/B38</f>
        <v>0.17309501411100658</v>
      </c>
      <c r="O38" s="1">
        <f>150/B38</f>
        <v>0.14111006585136407</v>
      </c>
      <c r="P38" s="1">
        <f>92/B38</f>
        <v>0.08654750705550329</v>
      </c>
      <c r="Q38" s="1">
        <f>42/B38</f>
        <v>0.03951081843838194</v>
      </c>
      <c r="S38" s="1">
        <f aca="true" t="shared" si="5" ref="S38:S45">SUM(O38:Q38)</f>
        <v>0.2671683913452493</v>
      </c>
      <c r="U38" s="1">
        <v>0.2672</v>
      </c>
      <c r="W38" s="1">
        <f>106/B38</f>
        <v>0.09971777986829727</v>
      </c>
    </row>
    <row r="39" spans="1:23" ht="12.75">
      <c r="A39" t="s">
        <v>21</v>
      </c>
      <c r="B39">
        <v>35</v>
      </c>
      <c r="E39" s="1">
        <f>6/B39</f>
        <v>0.17142857142857143</v>
      </c>
      <c r="F39" s="1">
        <f>5/B39</f>
        <v>0.14285714285714285</v>
      </c>
      <c r="G39" s="1">
        <f>7/B39</f>
        <v>0.2</v>
      </c>
      <c r="I39" s="1">
        <f t="shared" si="4"/>
        <v>0.5142857142857142</v>
      </c>
      <c r="K39" s="1">
        <v>0.5143</v>
      </c>
      <c r="M39" s="1">
        <f>2/B39</f>
        <v>0.05714285714285714</v>
      </c>
      <c r="O39" s="1">
        <f>3/B39</f>
        <v>0.08571428571428572</v>
      </c>
      <c r="P39" s="1">
        <f>3/B39</f>
        <v>0.08571428571428572</v>
      </c>
      <c r="Q39" s="1">
        <f>5/B39</f>
        <v>0.14285714285714285</v>
      </c>
      <c r="S39" s="1">
        <f t="shared" si="5"/>
        <v>0.3142857142857143</v>
      </c>
      <c r="U39" s="1">
        <v>0.3143</v>
      </c>
      <c r="W39" s="1">
        <f>4/B39</f>
        <v>0.11428571428571428</v>
      </c>
    </row>
    <row r="40" spans="1:23" ht="12.75">
      <c r="A40" t="s">
        <v>22</v>
      </c>
      <c r="B40">
        <v>1021</v>
      </c>
      <c r="E40" s="1">
        <f>63/B40</f>
        <v>0.061704211557296766</v>
      </c>
      <c r="F40" s="1">
        <f>91/B40</f>
        <v>0.089128305582762</v>
      </c>
      <c r="G40" s="1">
        <f>152/B40</f>
        <v>0.14887365328109697</v>
      </c>
      <c r="I40" s="1">
        <f t="shared" si="4"/>
        <v>0.29970617042115577</v>
      </c>
      <c r="K40" s="1" t="s">
        <v>40</v>
      </c>
      <c r="M40" s="1">
        <f>204/B40</f>
        <v>0.19980411361410383</v>
      </c>
      <c r="O40" s="1">
        <f>163/B40</f>
        <v>0.15964740450538686</v>
      </c>
      <c r="P40" s="1">
        <f>149/B40</f>
        <v>0.14593535749265427</v>
      </c>
      <c r="Q40" s="1">
        <f>81/B40</f>
        <v>0.07933398628795299</v>
      </c>
      <c r="S40" s="1">
        <f t="shared" si="5"/>
        <v>0.3849167482859941</v>
      </c>
      <c r="U40" s="1" t="s">
        <v>40</v>
      </c>
      <c r="W40" s="1">
        <f>118/B40</f>
        <v>0.11557296767874632</v>
      </c>
    </row>
    <row r="41" spans="1:23" ht="12.75">
      <c r="A41" t="s">
        <v>23</v>
      </c>
      <c r="B41">
        <v>234</v>
      </c>
      <c r="E41" s="1">
        <f>14/B41</f>
        <v>0.05982905982905983</v>
      </c>
      <c r="F41" s="1">
        <f>27/B41</f>
        <v>0.11538461538461539</v>
      </c>
      <c r="G41" s="1">
        <f>38/B41</f>
        <v>0.1623931623931624</v>
      </c>
      <c r="I41" s="1">
        <f t="shared" si="4"/>
        <v>0.33760683760683763</v>
      </c>
      <c r="K41" s="1">
        <v>0.3376</v>
      </c>
      <c r="M41" s="1">
        <f>42/B41</f>
        <v>0.1794871794871795</v>
      </c>
      <c r="O41" s="1">
        <f>40/B41</f>
        <v>0.17094017094017094</v>
      </c>
      <c r="P41" s="1">
        <f>26/B41</f>
        <v>0.1111111111111111</v>
      </c>
      <c r="Q41" s="1">
        <f>26/B41</f>
        <v>0.1111111111111111</v>
      </c>
      <c r="S41" s="1">
        <f t="shared" si="5"/>
        <v>0.39316239316239315</v>
      </c>
      <c r="U41" s="1">
        <v>0.3932</v>
      </c>
      <c r="W41" s="1">
        <f>21/B41</f>
        <v>0.08974358974358974</v>
      </c>
    </row>
    <row r="42" spans="1:23" ht="12.75">
      <c r="A42" t="s">
        <v>24</v>
      </c>
      <c r="B42">
        <v>208</v>
      </c>
      <c r="E42" s="1">
        <f>22/B42</f>
        <v>0.10576923076923077</v>
      </c>
      <c r="F42" s="1">
        <f>35/B42</f>
        <v>0.16826923076923078</v>
      </c>
      <c r="G42" s="1">
        <f>23/B42</f>
        <v>0.11057692307692307</v>
      </c>
      <c r="I42" s="1">
        <f t="shared" si="4"/>
        <v>0.38461538461538464</v>
      </c>
      <c r="K42" s="1">
        <v>0.3846</v>
      </c>
      <c r="M42" s="1">
        <f>30/B42</f>
        <v>0.14423076923076922</v>
      </c>
      <c r="O42" s="1">
        <f>24/B42</f>
        <v>0.11538461538461539</v>
      </c>
      <c r="P42" s="1">
        <f>23/B42</f>
        <v>0.11057692307692307</v>
      </c>
      <c r="Q42" s="1">
        <f>19/B42</f>
        <v>0.09134615384615384</v>
      </c>
      <c r="S42" s="1">
        <f t="shared" si="5"/>
        <v>0.3173076923076923</v>
      </c>
      <c r="U42" s="1">
        <v>0.3173</v>
      </c>
      <c r="W42" s="1">
        <f>32/B42</f>
        <v>0.15384615384615385</v>
      </c>
    </row>
    <row r="43" spans="1:23" ht="12.75">
      <c r="A43" t="s">
        <v>25</v>
      </c>
      <c r="B43">
        <v>122</v>
      </c>
      <c r="E43" s="1">
        <f>3/B43</f>
        <v>0.02459016393442623</v>
      </c>
      <c r="G43" s="1">
        <f>8/B43</f>
        <v>0.06557377049180328</v>
      </c>
      <c r="I43" s="1">
        <f t="shared" si="4"/>
        <v>0.09016393442622951</v>
      </c>
      <c r="M43" s="1">
        <f>7/B43</f>
        <v>0.05737704918032787</v>
      </c>
      <c r="O43" s="1">
        <f>2/B43</f>
        <v>0.01639344262295082</v>
      </c>
      <c r="P43" s="1">
        <f>1/B43</f>
        <v>0.00819672131147541</v>
      </c>
      <c r="Q43" s="1">
        <f>5/B43</f>
        <v>0.040983606557377046</v>
      </c>
      <c r="S43" s="1">
        <f t="shared" si="5"/>
        <v>0.06557377049180327</v>
      </c>
      <c r="U43" s="1" t="s">
        <v>40</v>
      </c>
      <c r="W43" s="1" t="s">
        <v>40</v>
      </c>
    </row>
    <row r="44" spans="1:23" ht="12.75">
      <c r="A44" t="s">
        <v>26</v>
      </c>
      <c r="B44">
        <v>222</v>
      </c>
      <c r="E44" s="1">
        <f>61/B44</f>
        <v>0.2747747747747748</v>
      </c>
      <c r="F44" s="1">
        <f>32/B44</f>
        <v>0.14414414414414414</v>
      </c>
      <c r="G44" s="1">
        <f>21/B44</f>
        <v>0.0945945945945946</v>
      </c>
      <c r="I44" s="1">
        <f t="shared" si="4"/>
        <v>0.5135135135135136</v>
      </c>
      <c r="K44" s="1">
        <v>0.5135</v>
      </c>
      <c r="M44" s="1">
        <f>31/B44</f>
        <v>0.13963963963963963</v>
      </c>
      <c r="O44" s="1">
        <f>24/B44</f>
        <v>0.10810810810810811</v>
      </c>
      <c r="P44" s="1">
        <f>10/B44</f>
        <v>0.04504504504504504</v>
      </c>
      <c r="Q44" s="1">
        <f>12/B44</f>
        <v>0.05405405405405406</v>
      </c>
      <c r="S44" s="1">
        <f t="shared" si="5"/>
        <v>0.2072072072072072</v>
      </c>
      <c r="U44" s="1">
        <v>0.2072</v>
      </c>
      <c r="W44" s="1">
        <f>31/B44</f>
        <v>0.13963963963963963</v>
      </c>
    </row>
    <row r="45" spans="1:23" ht="12.75">
      <c r="A45" t="s">
        <v>27</v>
      </c>
      <c r="B45">
        <v>130</v>
      </c>
      <c r="E45" s="1">
        <f>13/B45</f>
        <v>0.1</v>
      </c>
      <c r="F45" s="1">
        <f>12/B45</f>
        <v>0.09230769230769231</v>
      </c>
      <c r="G45" s="1">
        <f>24/B45</f>
        <v>0.18461538461538463</v>
      </c>
      <c r="I45" s="1">
        <f t="shared" si="4"/>
        <v>0.3769230769230769</v>
      </c>
      <c r="K45" s="1">
        <v>0.3769</v>
      </c>
      <c r="M45" s="1">
        <f>24/B45</f>
        <v>0.18461538461538463</v>
      </c>
      <c r="O45" s="1">
        <f>17/B45</f>
        <v>0.13076923076923078</v>
      </c>
      <c r="P45" s="1">
        <f>13/B45</f>
        <v>0.1</v>
      </c>
      <c r="Q45" s="1">
        <f>10/B45</f>
        <v>0.07692307692307693</v>
      </c>
      <c r="S45" s="1">
        <f t="shared" si="5"/>
        <v>0.3076923076923077</v>
      </c>
      <c r="U45" s="1">
        <v>0.3077</v>
      </c>
      <c r="W45" s="1">
        <f>17/B45</f>
        <v>0.13076923076923078</v>
      </c>
    </row>
    <row r="47" spans="1:23" ht="12.75">
      <c r="A47" t="s">
        <v>34</v>
      </c>
      <c r="B47" t="s">
        <v>35</v>
      </c>
      <c r="I47" s="1">
        <f>SUM(I38:I46)/8</f>
        <v>0.3721041808084199</v>
      </c>
      <c r="K47" s="1">
        <f>SUM(K38:K46)/6</f>
        <v>0.43115</v>
      </c>
      <c r="S47" s="1">
        <f>SUM(S38:S46)/8</f>
        <v>0.28216427809729516</v>
      </c>
      <c r="U47" s="1">
        <f>SUM(U38:U46)/6</f>
        <v>0.30115000000000003</v>
      </c>
      <c r="W47" s="1">
        <f>SUM(W38:W46)/7</f>
        <v>0.12051072511876741</v>
      </c>
    </row>
    <row r="49" spans="1:23" ht="12.75">
      <c r="A49" t="s">
        <v>20</v>
      </c>
      <c r="B49">
        <v>1063</v>
      </c>
      <c r="E49" s="1">
        <f>83/B49</f>
        <v>0.07808090310442145</v>
      </c>
      <c r="F49" s="1">
        <f>104/B49</f>
        <v>0.09783631232361242</v>
      </c>
      <c r="G49" s="1">
        <f>135/B49</f>
        <v>0.12699905926622765</v>
      </c>
      <c r="I49" s="1">
        <f aca="true" t="shared" si="6" ref="I49:I56">SUM(E49:G49)</f>
        <v>0.3029162746942615</v>
      </c>
      <c r="K49" s="1" t="s">
        <v>40</v>
      </c>
      <c r="M49" s="1">
        <f>129/B49</f>
        <v>0.1213546566321731</v>
      </c>
      <c r="O49" s="1">
        <f>160/B49</f>
        <v>0.15051740357478832</v>
      </c>
      <c r="P49" s="1">
        <f>192/B49</f>
        <v>0.18062088428974601</v>
      </c>
      <c r="Q49" s="1">
        <f>128/B49</f>
        <v>0.12041392285983067</v>
      </c>
      <c r="S49" s="1">
        <f aca="true" t="shared" si="7" ref="S49:S56">SUM(O49:Q49)</f>
        <v>0.451552210724365</v>
      </c>
      <c r="W49" s="1">
        <f>132/B49</f>
        <v>0.12417685794920037</v>
      </c>
    </row>
    <row r="50" spans="1:23" ht="12.75">
      <c r="A50" t="s">
        <v>21</v>
      </c>
      <c r="B50">
        <v>35</v>
      </c>
      <c r="E50" s="1">
        <f>6/B50</f>
        <v>0.17142857142857143</v>
      </c>
      <c r="F50" s="1">
        <f>7/B50</f>
        <v>0.2</v>
      </c>
      <c r="G50" s="1">
        <f>2/B50</f>
        <v>0.05714285714285714</v>
      </c>
      <c r="I50" s="1">
        <f t="shared" si="6"/>
        <v>0.4285714285714286</v>
      </c>
      <c r="K50" s="1">
        <v>0.4286</v>
      </c>
      <c r="M50" s="1">
        <f>5/B50</f>
        <v>0.14285714285714285</v>
      </c>
      <c r="O50" s="1">
        <f>4/B50</f>
        <v>0.11428571428571428</v>
      </c>
      <c r="P50" s="1">
        <f>3/B50</f>
        <v>0.08571428571428572</v>
      </c>
      <c r="Q50" s="1">
        <f>5/B50</f>
        <v>0.14285714285714285</v>
      </c>
      <c r="S50" s="1">
        <f t="shared" si="7"/>
        <v>0.34285714285714286</v>
      </c>
      <c r="U50" s="1">
        <v>0.3429</v>
      </c>
      <c r="W50" s="1">
        <f>3/B50</f>
        <v>0.08571428571428572</v>
      </c>
    </row>
    <row r="51" spans="1:23" ht="12.75">
      <c r="A51" t="s">
        <v>22</v>
      </c>
      <c r="B51">
        <v>1021</v>
      </c>
      <c r="E51" s="1">
        <f>143/B51</f>
        <v>0.14005876591576885</v>
      </c>
      <c r="F51" s="1">
        <f>183/B51</f>
        <v>0.1792360430950049</v>
      </c>
      <c r="G51" s="1">
        <f>162/B51</f>
        <v>0.15866797257590598</v>
      </c>
      <c r="I51" s="1">
        <f t="shared" si="6"/>
        <v>0.47796278158667976</v>
      </c>
      <c r="K51" s="1">
        <v>0.478</v>
      </c>
      <c r="M51" s="1">
        <f>105/B51</f>
        <v>0.10284035259549461</v>
      </c>
      <c r="O51" s="1">
        <f>102/B51</f>
        <v>0.09990205680705191</v>
      </c>
      <c r="P51" s="1">
        <f>101/B51</f>
        <v>0.098922624877571</v>
      </c>
      <c r="Q51" s="1">
        <f>130/B51</f>
        <v>0.12732615083251714</v>
      </c>
      <c r="S51" s="1">
        <f t="shared" si="7"/>
        <v>0.32615083251714005</v>
      </c>
      <c r="U51" s="1">
        <v>0.3262</v>
      </c>
      <c r="W51" s="1">
        <f>95/B51</f>
        <v>0.0930460333006856</v>
      </c>
    </row>
    <row r="52" spans="1:23" ht="12.75">
      <c r="A52" t="s">
        <v>23</v>
      </c>
      <c r="B52">
        <v>234</v>
      </c>
      <c r="E52" s="1">
        <f>37/B52</f>
        <v>0.1581196581196581</v>
      </c>
      <c r="F52" s="1">
        <f>29/B52</f>
        <v>0.12393162393162394</v>
      </c>
      <c r="G52" s="1">
        <f>52/B52</f>
        <v>0.2222222222222222</v>
      </c>
      <c r="I52" s="1">
        <f t="shared" si="6"/>
        <v>0.5042735042735043</v>
      </c>
      <c r="K52" s="1">
        <v>0.5043</v>
      </c>
      <c r="M52" s="1">
        <f>28/B52</f>
        <v>0.11965811965811966</v>
      </c>
      <c r="O52" s="1">
        <f>29/B52</f>
        <v>0.12393162393162394</v>
      </c>
      <c r="P52" s="1">
        <f>21/B52</f>
        <v>0.08974358974358974</v>
      </c>
      <c r="Q52" s="1">
        <f>22/B52</f>
        <v>0.09401709401709402</v>
      </c>
      <c r="S52" s="1">
        <f t="shared" si="7"/>
        <v>0.3076923076923077</v>
      </c>
      <c r="U52" s="1">
        <v>0.3077</v>
      </c>
      <c r="W52" s="1">
        <f>16/B52</f>
        <v>0.06837606837606838</v>
      </c>
    </row>
    <row r="53" spans="1:23" ht="12.75">
      <c r="A53" t="s">
        <v>24</v>
      </c>
      <c r="B53">
        <v>208</v>
      </c>
      <c r="E53" s="1">
        <f>27/B53</f>
        <v>0.12980769230769232</v>
      </c>
      <c r="F53" s="1">
        <f>30/B53</f>
        <v>0.14423076923076922</v>
      </c>
      <c r="G53" s="1">
        <f>44/B53</f>
        <v>0.21153846153846154</v>
      </c>
      <c r="I53" s="1">
        <f t="shared" si="6"/>
        <v>0.48557692307692313</v>
      </c>
      <c r="K53" s="1">
        <v>0.4856</v>
      </c>
      <c r="M53" s="1">
        <f>23/B53</f>
        <v>0.11057692307692307</v>
      </c>
      <c r="O53" s="1">
        <f>19/B53</f>
        <v>0.09134615384615384</v>
      </c>
      <c r="P53" s="1">
        <f>19/B53</f>
        <v>0.09134615384615384</v>
      </c>
      <c r="Q53" s="1">
        <f>19/B53</f>
        <v>0.09134615384615384</v>
      </c>
      <c r="S53" s="1">
        <f t="shared" si="7"/>
        <v>0.2740384615384615</v>
      </c>
      <c r="U53" s="1">
        <v>0.274</v>
      </c>
      <c r="W53" s="1">
        <f>27/B53</f>
        <v>0.12980769230769232</v>
      </c>
    </row>
    <row r="54" spans="1:23" ht="12.75">
      <c r="A54" t="s">
        <v>25</v>
      </c>
      <c r="B54">
        <v>122</v>
      </c>
      <c r="E54" s="1">
        <f>1/B54</f>
        <v>0.00819672131147541</v>
      </c>
      <c r="F54" s="1">
        <f>3/B54</f>
        <v>0.02459016393442623</v>
      </c>
      <c r="G54" s="1">
        <f>5/B54</f>
        <v>0.040983606557377046</v>
      </c>
      <c r="I54" s="1">
        <f t="shared" si="6"/>
        <v>0.07377049180327869</v>
      </c>
      <c r="M54" s="1">
        <f>6/B54</f>
        <v>0.04918032786885246</v>
      </c>
      <c r="O54" s="1">
        <f>3/B54</f>
        <v>0.02459016393442623</v>
      </c>
      <c r="P54" s="1">
        <f>6/B54</f>
        <v>0.04918032786885246</v>
      </c>
      <c r="Q54" s="1">
        <f>2/B54</f>
        <v>0.01639344262295082</v>
      </c>
      <c r="S54" s="1">
        <f t="shared" si="7"/>
        <v>0.09016393442622951</v>
      </c>
      <c r="W54" s="1" t="s">
        <v>40</v>
      </c>
    </row>
    <row r="55" spans="1:23" ht="12.75">
      <c r="A55" t="s">
        <v>26</v>
      </c>
      <c r="B55">
        <v>222</v>
      </c>
      <c r="E55" s="1">
        <f>22/B55</f>
        <v>0.0990990990990991</v>
      </c>
      <c r="F55" s="1">
        <f>19/B55</f>
        <v>0.08558558558558559</v>
      </c>
      <c r="G55" s="1">
        <f>25/B55</f>
        <v>0.11261261261261261</v>
      </c>
      <c r="I55" s="1">
        <f t="shared" si="6"/>
        <v>0.2972972972972973</v>
      </c>
      <c r="K55" s="1">
        <v>0.2973</v>
      </c>
      <c r="M55" s="1">
        <f>18/B55</f>
        <v>0.08108108108108109</v>
      </c>
      <c r="O55" s="1">
        <f>32/B55</f>
        <v>0.14414414414414414</v>
      </c>
      <c r="P55" s="1">
        <f>46/B55</f>
        <v>0.2072072072072072</v>
      </c>
      <c r="Q55" s="1">
        <f>18/B55</f>
        <v>0.08108108108108109</v>
      </c>
      <c r="S55" s="1">
        <f t="shared" si="7"/>
        <v>0.4324324324324324</v>
      </c>
      <c r="U55" s="1">
        <v>0.4324</v>
      </c>
      <c r="W55" s="1">
        <f>42/B55</f>
        <v>0.1891891891891892</v>
      </c>
    </row>
    <row r="56" spans="1:23" ht="12.75">
      <c r="A56" t="s">
        <v>27</v>
      </c>
      <c r="B56">
        <v>130</v>
      </c>
      <c r="E56" s="1">
        <f>8/B56</f>
        <v>0.06153846153846154</v>
      </c>
      <c r="F56" s="1">
        <f>7/B56</f>
        <v>0.05384615384615385</v>
      </c>
      <c r="G56" s="1">
        <f>11/B56</f>
        <v>0.08461538461538462</v>
      </c>
      <c r="I56" s="1">
        <f t="shared" si="6"/>
        <v>0.2</v>
      </c>
      <c r="K56" s="1" t="s">
        <v>40</v>
      </c>
      <c r="M56" s="1">
        <f>15/B56</f>
        <v>0.11538461538461539</v>
      </c>
      <c r="O56" s="1">
        <f>23/B56</f>
        <v>0.17692307692307693</v>
      </c>
      <c r="P56" s="1">
        <f>19/B56</f>
        <v>0.14615384615384616</v>
      </c>
      <c r="Q56" s="1">
        <f>25/B56</f>
        <v>0.19230769230769232</v>
      </c>
      <c r="S56" s="1">
        <f t="shared" si="7"/>
        <v>0.5153846153846154</v>
      </c>
      <c r="W56" s="1">
        <f>22/B56</f>
        <v>0.16923076923076924</v>
      </c>
    </row>
    <row r="58" spans="1:23" ht="12.75">
      <c r="A58" t="s">
        <v>36</v>
      </c>
      <c r="B58" t="s">
        <v>37</v>
      </c>
      <c r="I58" s="1">
        <f>SUM(I49:I57)/8</f>
        <v>0.3462960876629217</v>
      </c>
      <c r="K58" s="1">
        <f>SUM(K49:K57)/5</f>
        <v>0.43876</v>
      </c>
      <c r="S58" s="1">
        <f>SUM(S49:S57)/8</f>
        <v>0.34253399219658676</v>
      </c>
      <c r="U58" s="1">
        <f>SUM(U49:U57)/5</f>
        <v>0.33663999999999994</v>
      </c>
      <c r="W58" s="1">
        <f>SUM(W49:W57)/7</f>
        <v>0.12279155658112728</v>
      </c>
    </row>
    <row r="60" spans="1:23" ht="12.75">
      <c r="A60" t="s">
        <v>20</v>
      </c>
      <c r="B60">
        <v>1063</v>
      </c>
      <c r="E60" s="1">
        <f>137/B60</f>
        <v>0.1288805268109125</v>
      </c>
      <c r="F60" s="1">
        <f>155/B60</f>
        <v>0.1458137347130762</v>
      </c>
      <c r="G60" s="1">
        <f>157/B60</f>
        <v>0.14769520225776106</v>
      </c>
      <c r="I60" s="1">
        <f aca="true" t="shared" si="8" ref="I60:I67">SUM(E60:G60)</f>
        <v>0.42238946378174974</v>
      </c>
      <c r="K60" s="1">
        <v>0.4224</v>
      </c>
      <c r="M60" s="1">
        <f>158/B60</f>
        <v>0.14863593603010347</v>
      </c>
      <c r="O60" s="1">
        <f>136/B60</f>
        <v>0.1279397930385701</v>
      </c>
      <c r="P60" s="1">
        <f>152/B60</f>
        <v>0.14299153339604892</v>
      </c>
      <c r="Q60" s="1">
        <f>56/B60</f>
        <v>0.05268109125117592</v>
      </c>
      <c r="S60" s="1">
        <f aca="true" t="shared" si="9" ref="S60:S67">SUM(O60:Q60)</f>
        <v>0.32361241768579496</v>
      </c>
      <c r="U60" s="1">
        <v>0.3236</v>
      </c>
      <c r="W60" s="1">
        <f>112/B60</f>
        <v>0.10536218250235184</v>
      </c>
    </row>
    <row r="61" spans="1:23" ht="12.75">
      <c r="A61" t="s">
        <v>21</v>
      </c>
      <c r="B61">
        <v>35</v>
      </c>
      <c r="E61" s="1">
        <f>11/B61</f>
        <v>0.3142857142857143</v>
      </c>
      <c r="F61" s="1">
        <f>5/B61</f>
        <v>0.14285714285714285</v>
      </c>
      <c r="G61" s="1">
        <f>5/B61</f>
        <v>0.14285714285714285</v>
      </c>
      <c r="I61" s="1">
        <f t="shared" si="8"/>
        <v>0.6</v>
      </c>
      <c r="K61" s="1">
        <v>0.6</v>
      </c>
      <c r="M61" s="1">
        <f>3/B61</f>
        <v>0.08571428571428572</v>
      </c>
      <c r="P61" s="1">
        <f>4/B61</f>
        <v>0.11428571428571428</v>
      </c>
      <c r="Q61" s="1">
        <f>3/B61</f>
        <v>0.08571428571428572</v>
      </c>
      <c r="S61" s="1">
        <f t="shared" si="9"/>
        <v>0.2</v>
      </c>
      <c r="U61" s="1">
        <v>0.2</v>
      </c>
      <c r="W61" s="1">
        <f>4/B61</f>
        <v>0.11428571428571428</v>
      </c>
    </row>
    <row r="62" spans="1:23" ht="12.75">
      <c r="A62" t="s">
        <v>22</v>
      </c>
      <c r="B62">
        <v>1021</v>
      </c>
      <c r="E62" s="1">
        <f>145/B62</f>
        <v>0.14201762977473065</v>
      </c>
      <c r="F62" s="1">
        <f>135/B62</f>
        <v>0.13222331047992164</v>
      </c>
      <c r="G62" s="1">
        <f>134/B62</f>
        <v>0.13124387855044076</v>
      </c>
      <c r="I62" s="1">
        <f t="shared" si="8"/>
        <v>0.405484818805093</v>
      </c>
      <c r="K62" s="1">
        <v>0.4055</v>
      </c>
      <c r="M62" s="1">
        <f>143/B62</f>
        <v>0.14005876591576885</v>
      </c>
      <c r="O62" s="1">
        <f>139/B62</f>
        <v>0.13614103819784526</v>
      </c>
      <c r="P62" s="1">
        <f>168/B62</f>
        <v>0.16454456415279137</v>
      </c>
      <c r="Q62" s="1">
        <f>48/B62</f>
        <v>0.04701273261508325</v>
      </c>
      <c r="S62" s="1">
        <f t="shared" si="9"/>
        <v>0.3476983349657199</v>
      </c>
      <c r="U62" s="1">
        <v>0.3477</v>
      </c>
      <c r="W62" s="1">
        <f>109/B62</f>
        <v>0.10675808031341821</v>
      </c>
    </row>
    <row r="63" spans="1:23" ht="12.75">
      <c r="A63" t="s">
        <v>23</v>
      </c>
      <c r="B63">
        <v>234</v>
      </c>
      <c r="E63" s="1">
        <f>46/B63</f>
        <v>0.19658119658119658</v>
      </c>
      <c r="F63" s="1">
        <f>41/B63</f>
        <v>0.1752136752136752</v>
      </c>
      <c r="G63" s="1">
        <f>28/B63</f>
        <v>0.11965811965811966</v>
      </c>
      <c r="I63" s="1">
        <f t="shared" si="8"/>
        <v>0.4914529914529915</v>
      </c>
      <c r="K63" s="1">
        <v>0.4915</v>
      </c>
      <c r="M63" s="1">
        <f>30/B63</f>
        <v>0.1282051282051282</v>
      </c>
      <c r="O63" s="1">
        <f>28/B63</f>
        <v>0.11965811965811966</v>
      </c>
      <c r="P63" s="1">
        <f>33/B63</f>
        <v>0.14102564102564102</v>
      </c>
      <c r="Q63" s="1">
        <f>11/B63</f>
        <v>0.04700854700854701</v>
      </c>
      <c r="S63" s="1">
        <f t="shared" si="9"/>
        <v>0.3076923076923077</v>
      </c>
      <c r="U63" s="1">
        <v>0.3077</v>
      </c>
      <c r="W63" s="1">
        <f>17/B63</f>
        <v>0.07264957264957266</v>
      </c>
    </row>
    <row r="64" spans="1:23" ht="12.75">
      <c r="A64" t="s">
        <v>24</v>
      </c>
      <c r="B64">
        <v>208</v>
      </c>
      <c r="E64" s="1">
        <f>40/B64</f>
        <v>0.19230769230769232</v>
      </c>
      <c r="F64" s="1">
        <f>24/B64</f>
        <v>0.11538461538461539</v>
      </c>
      <c r="G64" s="1">
        <f>22/B64</f>
        <v>0.10576923076923077</v>
      </c>
      <c r="I64" s="1">
        <f t="shared" si="8"/>
        <v>0.4134615384615385</v>
      </c>
      <c r="K64" s="1">
        <v>0.4135</v>
      </c>
      <c r="M64" s="1">
        <f>22/B64</f>
        <v>0.10576923076923077</v>
      </c>
      <c r="O64" s="1">
        <f>27/B64</f>
        <v>0.12980769230769232</v>
      </c>
      <c r="P64" s="1">
        <f>34/B64</f>
        <v>0.16346153846153846</v>
      </c>
      <c r="Q64" s="1">
        <f>10/B64</f>
        <v>0.04807692307692308</v>
      </c>
      <c r="S64" s="1">
        <f t="shared" si="9"/>
        <v>0.34134615384615385</v>
      </c>
      <c r="U64" s="1">
        <v>0.3413</v>
      </c>
      <c r="W64" s="1">
        <f>29/B64</f>
        <v>0.13942307692307693</v>
      </c>
    </row>
    <row r="65" spans="1:23" ht="12.75">
      <c r="A65" t="s">
        <v>25</v>
      </c>
      <c r="B65">
        <v>122</v>
      </c>
      <c r="E65" s="1">
        <f>3/B65</f>
        <v>0.02459016393442623</v>
      </c>
      <c r="F65" s="1">
        <f>4/B65</f>
        <v>0.03278688524590164</v>
      </c>
      <c r="G65" s="1">
        <f>4/B65</f>
        <v>0.03278688524590164</v>
      </c>
      <c r="I65" s="1">
        <f t="shared" si="8"/>
        <v>0.09016393442622951</v>
      </c>
      <c r="M65" s="1">
        <f>5/B65</f>
        <v>0.040983606557377046</v>
      </c>
      <c r="O65" s="1">
        <f>3/B65</f>
        <v>0.02459016393442623</v>
      </c>
      <c r="P65" s="1">
        <f>6/B65</f>
        <v>0.04918032786885246</v>
      </c>
      <c r="Q65" s="1">
        <f>1/B65</f>
        <v>0.00819672131147541</v>
      </c>
      <c r="S65" s="1">
        <f t="shared" si="9"/>
        <v>0.08196721311475409</v>
      </c>
      <c r="W65" s="1" t="s">
        <v>40</v>
      </c>
    </row>
    <row r="66" spans="1:23" ht="12.75">
      <c r="A66" t="s">
        <v>26</v>
      </c>
      <c r="B66">
        <v>222</v>
      </c>
      <c r="E66" s="1">
        <f>28/B66</f>
        <v>0.12612612612612611</v>
      </c>
      <c r="F66" s="1">
        <f>48/B66</f>
        <v>0.21621621621621623</v>
      </c>
      <c r="G66" s="1">
        <f>22/B66</f>
        <v>0.0990990990990991</v>
      </c>
      <c r="I66" s="1">
        <f t="shared" si="8"/>
        <v>0.44144144144144143</v>
      </c>
      <c r="K66" s="1">
        <v>0.4414</v>
      </c>
      <c r="M66" s="1">
        <f>43/B66</f>
        <v>0.19369369369369369</v>
      </c>
      <c r="O66" s="1">
        <f>19/B66</f>
        <v>0.08558558558558559</v>
      </c>
      <c r="P66" s="1">
        <f>18/B66</f>
        <v>0.08108108108108109</v>
      </c>
      <c r="Q66" s="1">
        <f>11/B66</f>
        <v>0.04954954954954955</v>
      </c>
      <c r="S66" s="1">
        <f t="shared" si="9"/>
        <v>0.21621621621621623</v>
      </c>
      <c r="U66" s="1">
        <v>0.21622</v>
      </c>
      <c r="W66" s="1">
        <f>33/B66</f>
        <v>0.14864864864864866</v>
      </c>
    </row>
    <row r="67" spans="1:23" ht="12.75">
      <c r="A67" t="s">
        <v>27</v>
      </c>
      <c r="B67">
        <v>130</v>
      </c>
      <c r="E67" s="1">
        <f>13/B67</f>
        <v>0.1</v>
      </c>
      <c r="F67" s="1">
        <f>19/B67</f>
        <v>0.14615384615384616</v>
      </c>
      <c r="G67" s="1">
        <f>11/B67</f>
        <v>0.08461538461538462</v>
      </c>
      <c r="I67" s="1">
        <f t="shared" si="8"/>
        <v>0.3307692307692308</v>
      </c>
      <c r="K67" s="1" t="s">
        <v>40</v>
      </c>
      <c r="M67" s="1">
        <f>17/B67</f>
        <v>0.13076923076923078</v>
      </c>
      <c r="O67" s="1">
        <f>22/B67</f>
        <v>0.16923076923076924</v>
      </c>
      <c r="P67" s="1">
        <f>20/B67</f>
        <v>0.15384615384615385</v>
      </c>
      <c r="Q67" s="1">
        <f>10/B67</f>
        <v>0.07692307692307693</v>
      </c>
      <c r="S67" s="1">
        <f t="shared" si="9"/>
        <v>0.4</v>
      </c>
      <c r="W67" s="1">
        <f>18/B67</f>
        <v>0.13846153846153847</v>
      </c>
    </row>
    <row r="69" spans="1:23" ht="12.75">
      <c r="A69" t="s">
        <v>38</v>
      </c>
      <c r="B69" t="s">
        <v>39</v>
      </c>
      <c r="I69" s="1">
        <f>SUM(I60:I68)/8</f>
        <v>0.39939542739228434</v>
      </c>
      <c r="K69" s="1">
        <f>SUM(K60:K68)/6</f>
        <v>0.46238333333333337</v>
      </c>
      <c r="S69" s="1">
        <f>SUM(S60:S68)/8</f>
        <v>0.27731658044011837</v>
      </c>
      <c r="U69" s="1">
        <f>SUM(U60:U68)/6</f>
        <v>0.28942</v>
      </c>
      <c r="W69" s="1">
        <f>SUM(W60:W68)/7</f>
        <v>0.11794125911204587</v>
      </c>
    </row>
    <row r="72" spans="1:23" ht="12.75">
      <c r="A72" t="s">
        <v>20</v>
      </c>
      <c r="B72">
        <v>1063</v>
      </c>
      <c r="E72" s="1">
        <f>110/B72</f>
        <v>0.10348071495766697</v>
      </c>
      <c r="F72" s="1">
        <f>34/B72</f>
        <v>0.03198494825964252</v>
      </c>
      <c r="G72" s="1">
        <f>26/B72</f>
        <v>0.024459078080903106</v>
      </c>
      <c r="I72" s="1">
        <f aca="true" t="shared" si="10" ref="I72:I79">SUM(E72:G72)</f>
        <v>0.1599247412982126</v>
      </c>
      <c r="K72" s="1">
        <v>0.1599</v>
      </c>
      <c r="M72" s="1">
        <f>17/B72</f>
        <v>0.01599247412982126</v>
      </c>
      <c r="O72" s="1">
        <f>16/B72</f>
        <v>0.015051740357478834</v>
      </c>
      <c r="P72" s="1">
        <f>32/B72</f>
        <v>0.030103480714957668</v>
      </c>
      <c r="Q72" s="1">
        <f>167/B72</f>
        <v>0.1571025399811853</v>
      </c>
      <c r="S72" s="1">
        <f aca="true" t="shared" si="11" ref="S72:S79">SUM(O72:Q72)</f>
        <v>0.2022577610536218</v>
      </c>
      <c r="U72" s="1">
        <v>0.2023</v>
      </c>
      <c r="W72" s="1">
        <f>661/B72</f>
        <v>0.6218250235183443</v>
      </c>
    </row>
    <row r="73" spans="1:23" ht="12.75">
      <c r="A73" t="s">
        <v>21</v>
      </c>
      <c r="B73">
        <v>35</v>
      </c>
      <c r="E73" s="1">
        <f>6/B73</f>
        <v>0.17142857142857143</v>
      </c>
      <c r="F73" s="1">
        <f>2/B73</f>
        <v>0.05714285714285714</v>
      </c>
      <c r="G73" s="1">
        <f>1/B73</f>
        <v>0.02857142857142857</v>
      </c>
      <c r="I73" s="1">
        <f t="shared" si="10"/>
        <v>0.2571428571428571</v>
      </c>
      <c r="K73" s="1">
        <v>0.2571</v>
      </c>
      <c r="Q73" s="1">
        <f>4/B73</f>
        <v>0.11428571428571428</v>
      </c>
      <c r="S73" s="1">
        <f t="shared" si="11"/>
        <v>0.11428571428571428</v>
      </c>
      <c r="U73" s="1">
        <v>0.1143</v>
      </c>
      <c r="W73" s="1">
        <f>22/B73</f>
        <v>0.6285714285714286</v>
      </c>
    </row>
    <row r="74" spans="1:23" ht="12.75">
      <c r="A74" t="s">
        <v>22</v>
      </c>
      <c r="B74">
        <v>1021</v>
      </c>
      <c r="E74" s="1">
        <f>88/B74</f>
        <v>0.08619000979431929</v>
      </c>
      <c r="F74" s="1">
        <f>28/B74</f>
        <v>0.02742409402546523</v>
      </c>
      <c r="G74" s="1">
        <f>14/B74</f>
        <v>0.013712047012732615</v>
      </c>
      <c r="I74" s="1">
        <f t="shared" si="10"/>
        <v>0.12732615083251714</v>
      </c>
      <c r="K74" s="1">
        <v>0.1273</v>
      </c>
      <c r="M74" s="1">
        <f>18/B74</f>
        <v>0.01762977473065622</v>
      </c>
      <c r="O74" s="1">
        <f>29/B74</f>
        <v>0.02840352595494613</v>
      </c>
      <c r="P74" s="1">
        <f>42/B74</f>
        <v>0.04113614103819784</v>
      </c>
      <c r="Q74" s="1">
        <f>199/B74</f>
        <v>0.19490695396669933</v>
      </c>
      <c r="S74" s="1">
        <f t="shared" si="11"/>
        <v>0.2644466209598433</v>
      </c>
      <c r="U74" s="1">
        <v>0.2644</v>
      </c>
      <c r="W74" s="1">
        <f>603/B74</f>
        <v>0.5905974534769833</v>
      </c>
    </row>
    <row r="75" spans="1:23" ht="12.75">
      <c r="A75" t="s">
        <v>23</v>
      </c>
      <c r="B75">
        <v>234</v>
      </c>
      <c r="E75" s="1">
        <f>38/B75</f>
        <v>0.1623931623931624</v>
      </c>
      <c r="F75" s="1">
        <f>13/B75</f>
        <v>0.05555555555555555</v>
      </c>
      <c r="G75" s="1">
        <f>4/B75</f>
        <v>0.017094017094017096</v>
      </c>
      <c r="I75" s="1">
        <f t="shared" si="10"/>
        <v>0.23504273504273504</v>
      </c>
      <c r="K75" s="1">
        <v>0.235</v>
      </c>
      <c r="M75" s="1">
        <f>4/B75</f>
        <v>0.017094017094017096</v>
      </c>
      <c r="O75" s="1">
        <f>2/B75</f>
        <v>0.008547008547008548</v>
      </c>
      <c r="P75" s="1">
        <f>8/B75</f>
        <v>0.03418803418803419</v>
      </c>
      <c r="Q75" s="1">
        <f>29/B75</f>
        <v>0.12393162393162394</v>
      </c>
      <c r="S75" s="1">
        <f t="shared" si="11"/>
        <v>0.16666666666666669</v>
      </c>
      <c r="U75" s="1">
        <v>0.1667</v>
      </c>
      <c r="W75" s="1">
        <f>136/B75</f>
        <v>0.5811965811965812</v>
      </c>
    </row>
    <row r="76" spans="1:23" ht="12.75">
      <c r="A76" t="s">
        <v>24</v>
      </c>
      <c r="B76">
        <v>208</v>
      </c>
      <c r="E76" s="1">
        <f>33/B76</f>
        <v>0.15865384615384615</v>
      </c>
      <c r="F76" s="1">
        <f>11/B76</f>
        <v>0.052884615384615384</v>
      </c>
      <c r="G76" s="1">
        <f>8/B76</f>
        <v>0.038461538461538464</v>
      </c>
      <c r="I76" s="1">
        <f t="shared" si="10"/>
        <v>0.25</v>
      </c>
      <c r="K76" s="1">
        <v>0.25</v>
      </c>
      <c r="M76" s="1">
        <f>4/B76</f>
        <v>0.019230769230769232</v>
      </c>
      <c r="O76" s="1">
        <f>6/B76</f>
        <v>0.028846153846153848</v>
      </c>
      <c r="P76" s="1">
        <f>4/B76</f>
        <v>0.019230769230769232</v>
      </c>
      <c r="Q76" s="1">
        <f>20/B76</f>
        <v>0.09615384615384616</v>
      </c>
      <c r="S76" s="1">
        <f t="shared" si="11"/>
        <v>0.14423076923076925</v>
      </c>
      <c r="U76" s="1">
        <v>0.1442</v>
      </c>
      <c r="W76" s="1">
        <f>122/B76</f>
        <v>0.5865384615384616</v>
      </c>
    </row>
    <row r="77" spans="1:23" ht="12.75">
      <c r="A77" t="s">
        <v>25</v>
      </c>
      <c r="B77">
        <v>122</v>
      </c>
      <c r="E77" s="1">
        <f>3/B77</f>
        <v>0.02459016393442623</v>
      </c>
      <c r="F77" s="1">
        <f>1/B77</f>
        <v>0.00819672131147541</v>
      </c>
      <c r="I77" s="1">
        <f t="shared" si="10"/>
        <v>0.03278688524590164</v>
      </c>
      <c r="M77" s="1" t="s">
        <v>40</v>
      </c>
      <c r="O77" s="1">
        <f>1/B77</f>
        <v>0.00819672131147541</v>
      </c>
      <c r="P77" s="1" t="s">
        <v>41</v>
      </c>
      <c r="Q77" s="1">
        <f>7/B77</f>
        <v>0.05737704918032787</v>
      </c>
      <c r="S77" s="1">
        <f t="shared" si="11"/>
        <v>0.06557377049180328</v>
      </c>
      <c r="W77" s="1" t="s">
        <v>40</v>
      </c>
    </row>
    <row r="78" spans="1:23" ht="12.75">
      <c r="A78" t="s">
        <v>26</v>
      </c>
      <c r="B78">
        <v>222</v>
      </c>
      <c r="E78" s="1">
        <f>28/B78</f>
        <v>0.12612612612612611</v>
      </c>
      <c r="F78" s="1">
        <f>7/B78</f>
        <v>0.03153153153153153</v>
      </c>
      <c r="G78" s="1">
        <f>13/B78</f>
        <v>0.05855855855855856</v>
      </c>
      <c r="I78" s="1">
        <f t="shared" si="10"/>
        <v>0.21621621621621623</v>
      </c>
      <c r="K78" s="1">
        <v>0.2162</v>
      </c>
      <c r="M78" s="1">
        <f>1/B78</f>
        <v>0.0045045045045045045</v>
      </c>
      <c r="O78" s="1">
        <f>3/B78</f>
        <v>0.013513513513513514</v>
      </c>
      <c r="P78" s="1">
        <f>8/B78</f>
        <v>0.036036036036036036</v>
      </c>
      <c r="Q78" s="1">
        <f>46/B78</f>
        <v>0.2072072072072072</v>
      </c>
      <c r="S78" s="1">
        <f t="shared" si="11"/>
        <v>0.25675675675675674</v>
      </c>
      <c r="U78" s="1">
        <v>0.2568</v>
      </c>
      <c r="W78" s="1">
        <f>116/B78</f>
        <v>0.5225225225225225</v>
      </c>
    </row>
    <row r="79" spans="1:23" ht="12.75">
      <c r="A79" t="s">
        <v>27</v>
      </c>
      <c r="B79">
        <v>130</v>
      </c>
      <c r="E79" s="1">
        <f>17/B79</f>
        <v>0.13076923076923078</v>
      </c>
      <c r="F79" s="1">
        <f>5/B79</f>
        <v>0.038461538461538464</v>
      </c>
      <c r="G79" s="1">
        <f>6/B79</f>
        <v>0.046153846153846156</v>
      </c>
      <c r="I79" s="1">
        <f t="shared" si="10"/>
        <v>0.2153846153846154</v>
      </c>
      <c r="K79" s="1">
        <v>0.2154</v>
      </c>
      <c r="M79" s="1">
        <f>2/B79</f>
        <v>0.015384615384615385</v>
      </c>
      <c r="O79" s="1">
        <f>4/B79</f>
        <v>0.03076923076923077</v>
      </c>
      <c r="P79" s="1">
        <f>3/B79</f>
        <v>0.023076923076923078</v>
      </c>
      <c r="Q79" s="1">
        <f>16/B79</f>
        <v>0.12307692307692308</v>
      </c>
      <c r="S79" s="1">
        <f t="shared" si="11"/>
        <v>0.17692307692307693</v>
      </c>
      <c r="U79" s="1">
        <v>0.1769</v>
      </c>
      <c r="W79" s="1">
        <f>77/B79</f>
        <v>0.5923076923076923</v>
      </c>
    </row>
    <row r="80" ht="12.75">
      <c r="S80" s="1" t="s">
        <v>40</v>
      </c>
    </row>
    <row r="81" spans="9:23" ht="12.75">
      <c r="I81" s="1">
        <f>SUM(I72:I80)/8</f>
        <v>0.1867280251453819</v>
      </c>
      <c r="K81" s="1">
        <f>SUM(K72:K80)/7</f>
        <v>0.20870000000000002</v>
      </c>
      <c r="S81" s="1">
        <f>SUM(S72:S80)/8</f>
        <v>0.17389264204603155</v>
      </c>
      <c r="W81" s="1">
        <f>SUM(W72:W80)/7</f>
        <v>0.5890798804474305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Able Towers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Abel Wisman</dc:creator>
  <cp:keywords/>
  <dc:description/>
  <cp:lastModifiedBy>Abel Wisman</cp:lastModifiedBy>
  <dcterms:created xsi:type="dcterms:W3CDTF">2002-03-02T19:27:08Z</dcterms:created>
  <dcterms:modified xsi:type="dcterms:W3CDTF">2002-03-18T07:04:03Z</dcterms:modified>
  <cp:category/>
  <cp:version/>
  <cp:contentType/>
  <cp:contentStatus/>
</cp:coreProperties>
</file>